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12390" activeTab="0"/>
  </bookViews>
  <sheets>
    <sheet name="2012" sheetId="1" r:id="rId1"/>
    <sheet name="2013" sheetId="2" r:id="rId2"/>
  </sheets>
  <definedNames>
    <definedName name="_xlnm.Print_Area" localSheetId="0">'2012'!$A$1:$M$65</definedName>
  </definedNames>
  <calcPr fullCalcOnLoad="1"/>
</workbook>
</file>

<file path=xl/sharedStrings.xml><?xml version="1.0" encoding="utf-8"?>
<sst xmlns="http://schemas.openxmlformats.org/spreadsheetml/2006/main" count="224" uniqueCount="111">
  <si>
    <t>№ пп</t>
  </si>
  <si>
    <t>Реконструкция КЛ-0,4 кВ</t>
  </si>
  <si>
    <t>ПРОЧИЕ</t>
  </si>
  <si>
    <t>Наименование  объекта</t>
  </si>
  <si>
    <t>Ед. изм.</t>
  </si>
  <si>
    <t>Кол-во</t>
  </si>
  <si>
    <t>в том числе:</t>
  </si>
  <si>
    <t>I</t>
  </si>
  <si>
    <t>Электросетевые объекты</t>
  </si>
  <si>
    <t>1.1.</t>
  </si>
  <si>
    <t>Реконструкция КЛ-10 кВ (прокладка новых КЛ-10 кВ в замен существующих)</t>
  </si>
  <si>
    <t>1.3.</t>
  </si>
  <si>
    <t>1.4.</t>
  </si>
  <si>
    <t>км</t>
  </si>
  <si>
    <t>Реконструкция ВЛ-0,4 кВ и строительство новых ВЛ-0,4 кВ</t>
  </si>
  <si>
    <t>шт</t>
  </si>
  <si>
    <t>1.5.</t>
  </si>
  <si>
    <t>II</t>
  </si>
  <si>
    <t>Реконструкция ТП-10/0,4 кВ и РП-10 кВ</t>
  </si>
  <si>
    <t>1.2</t>
  </si>
  <si>
    <t>Реконструкция ВЛ-10кВ</t>
  </si>
  <si>
    <t>2</t>
  </si>
  <si>
    <t>3</t>
  </si>
  <si>
    <t>4</t>
  </si>
  <si>
    <t>1</t>
  </si>
  <si>
    <t>яч</t>
  </si>
  <si>
    <t>шт/яч</t>
  </si>
  <si>
    <t>7</t>
  </si>
  <si>
    <t>10</t>
  </si>
  <si>
    <t xml:space="preserve"> </t>
  </si>
  <si>
    <t>Энергосбережение в сетях МП АЭС</t>
  </si>
  <si>
    <t>8</t>
  </si>
  <si>
    <t>9</t>
  </si>
  <si>
    <t>11</t>
  </si>
  <si>
    <t>5</t>
  </si>
  <si>
    <t>6</t>
  </si>
  <si>
    <t>12</t>
  </si>
  <si>
    <t>13</t>
  </si>
  <si>
    <t>14</t>
  </si>
  <si>
    <t>план</t>
  </si>
  <si>
    <t>факт</t>
  </si>
  <si>
    <t>амортизация млн.руб. План</t>
  </si>
  <si>
    <t>амортизация млн.руб. Факт</t>
  </si>
  <si>
    <t>прибыль    млн. руб. План</t>
  </si>
  <si>
    <t>прибыль    млн. руб. Факт</t>
  </si>
  <si>
    <t>Отчет</t>
  </si>
  <si>
    <t>о выполнении инвестиционной программы МП  г. Абакана «Абаканские  электрические  сети»</t>
  </si>
  <si>
    <t>Заместитель директора по финансам, главный бухгалтер</t>
  </si>
  <si>
    <t>О. В. Гапон</t>
  </si>
  <si>
    <t>Выполнение, %</t>
  </si>
  <si>
    <t>III</t>
  </si>
  <si>
    <t>Всего  по МП  г. Абакана «Абаканские  электрические  сети»</t>
  </si>
  <si>
    <t>15</t>
  </si>
  <si>
    <t>УТВЕРЖДАЮ:</t>
  </si>
  <si>
    <t>Директор МП «АЭС»</t>
  </si>
  <si>
    <t>___________ В.В. Марков</t>
  </si>
  <si>
    <t>сплит сист.</t>
  </si>
  <si>
    <t xml:space="preserve">«___» __________ 2013 г. </t>
  </si>
  <si>
    <t>ЦРП-291-ТП-297</t>
  </si>
  <si>
    <t>ЦРП-291-ТП-259</t>
  </si>
  <si>
    <t>опора ф. 32/16-126 до ТП-126</t>
  </si>
  <si>
    <t>опора ф. РП-7/6-126 до ТП-126</t>
  </si>
  <si>
    <t>ТП-66- опора</t>
  </si>
  <si>
    <t xml:space="preserve">Прокладка 2 КЛ-10 кВ до КТП-10/0,4 кВ </t>
  </si>
  <si>
    <t>ф.32/16-126</t>
  </si>
  <si>
    <t>ф.51-278</t>
  </si>
  <si>
    <t>ф.28/22-РП-7/11</t>
  </si>
  <si>
    <t>ф.28/16-347</t>
  </si>
  <si>
    <t>ТП-29</t>
  </si>
  <si>
    <t>ТП-396</t>
  </si>
  <si>
    <t>ТП-499</t>
  </si>
  <si>
    <t>ТП-18</t>
  </si>
  <si>
    <t>ТП-272</t>
  </si>
  <si>
    <t>ТП-66</t>
  </si>
  <si>
    <t>ТП-484</t>
  </si>
  <si>
    <t>ТП-702</t>
  </si>
  <si>
    <t>Кабельные выхода на опоры от ВЛ-0,4 кВ до ТП-10/0,4 кВ и замена КЛ-0.4кВ до жилых домов   ул.Жукова 9,11, ул. Пушкина 1, ул. П.Комунаров 98, ул. Красноярская 6</t>
  </si>
  <si>
    <t>Строительство КТП-10/0,4 кВ (2*630 кВа)</t>
  </si>
  <si>
    <t>Приобретение информационно - вычислительной техники</t>
  </si>
  <si>
    <t>ПИР на 2013-2014г</t>
  </si>
  <si>
    <t>Совершенствование технологических процессов. Установка устройств компенсации реактивной мощности</t>
  </si>
  <si>
    <t>Всего в ценах  2012г.</t>
  </si>
  <si>
    <t>36</t>
  </si>
  <si>
    <t>22</t>
  </si>
  <si>
    <t>капитальные вложения на 2013 год</t>
  </si>
  <si>
    <t>IV</t>
  </si>
  <si>
    <t>АИИСКУЭ</t>
  </si>
  <si>
    <t>ТП-475 ф.4</t>
  </si>
  <si>
    <t>ТП-56 ф.1, 2</t>
  </si>
  <si>
    <t>ТП-111 ф.4</t>
  </si>
  <si>
    <t>ТП-391 ф.16, ф.14</t>
  </si>
  <si>
    <t>ТП-352 ф.4</t>
  </si>
  <si>
    <t>ТП-119 ф.4, ф.2</t>
  </si>
  <si>
    <t>ТП-292 ф.4, ф.18</t>
  </si>
  <si>
    <t>100%</t>
  </si>
  <si>
    <t>Реконструкция вне плана: ТП-49-ТП-451</t>
  </si>
  <si>
    <t>10/36</t>
  </si>
  <si>
    <t>1/20</t>
  </si>
  <si>
    <t>16</t>
  </si>
  <si>
    <r>
      <t xml:space="preserve">Реконструкция  </t>
    </r>
    <r>
      <rPr>
        <b/>
        <sz val="10"/>
        <rFont val="Times New Roman"/>
        <family val="1"/>
      </rPr>
      <t>ТП № "Черногорский парк"(2),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159(5</t>
    </r>
    <r>
      <rPr>
        <sz val="10"/>
        <rFont val="Times New Roman"/>
        <family val="1"/>
      </rPr>
      <t xml:space="preserve">), </t>
    </r>
    <r>
      <rPr>
        <b/>
        <sz val="10"/>
        <rFont val="Times New Roman"/>
        <family val="1"/>
      </rPr>
      <t>113(5)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177(7)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156(6)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(5)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14(4)</t>
    </r>
    <r>
      <rPr>
        <sz val="10"/>
        <rFont val="Times New Roman"/>
        <family val="1"/>
      </rPr>
      <t xml:space="preserve"> с заменой ячеек КСО и замена ЛР на ВН</t>
    </r>
  </si>
  <si>
    <r>
      <t xml:space="preserve">Замена МТП и старых КТП на новые КТП </t>
    </r>
    <r>
      <rPr>
        <b/>
        <sz val="10"/>
        <rFont val="Times New Roman"/>
        <family val="1"/>
      </rPr>
      <t>(51,60,19</t>
    </r>
    <r>
      <rPr>
        <sz val="10"/>
        <rFont val="Times New Roman"/>
        <family val="1"/>
      </rPr>
      <t xml:space="preserve">) </t>
    </r>
  </si>
  <si>
    <t>Реконструкция вне плана: ТП-279 ф.8; ТП-214 ф.6</t>
  </si>
  <si>
    <t>26</t>
  </si>
  <si>
    <t>Приобретение автотехники: электролаборатория передвижная ППУ(аванс)</t>
  </si>
  <si>
    <t>Реконструкция и модернизация энергетических установок. Замена трансформаторов на ТМГ-12</t>
  </si>
  <si>
    <r>
      <t>Монтаж защиты микропроцессорной (типа БМРЗ ТН), РП-</t>
    </r>
    <r>
      <rPr>
        <b/>
        <sz val="10"/>
        <rFont val="Times New Roman"/>
        <family val="1"/>
      </rPr>
      <t>1,3,4,5,6,7,10,13,15,17,20</t>
    </r>
  </si>
  <si>
    <t>Начальник ПТО</t>
  </si>
  <si>
    <t>А.А. Ханин</t>
  </si>
  <si>
    <t>СМР вне плана: КЛ-10 кВ РП-2/22-РП-14/6</t>
  </si>
  <si>
    <r>
      <t>Вне плана ТП-427, ТП-67 (по тех. присоед.), ТП-98, ТП-70, ТП-56; РТП-17; ТП-5; ТП-105</t>
    </r>
    <r>
      <rPr>
        <sz val="10"/>
        <rFont val="Times New Roman"/>
        <family val="1"/>
      </rPr>
      <t>; ТП-458; ТП-564</t>
    </r>
  </si>
  <si>
    <t>за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</si>
</sst>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</numFmts>
  <fonts count="44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10" fontId="3" fillId="33" borderId="10" xfId="0" applyNumberFormat="1" applyFont="1" applyFill="1" applyBorder="1" applyAlignment="1">
      <alignment vertical="center" wrapText="1"/>
    </xf>
    <xf numFmtId="10" fontId="6" fillId="34" borderId="10" xfId="0" applyNumberFormat="1" applyFont="1" applyFill="1" applyBorder="1" applyAlignment="1">
      <alignment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2" fontId="2" fillId="35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0" fontId="2" fillId="34" borderId="10" xfId="0" applyNumberFormat="1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2" fillId="36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SheetLayoutView="115" zoomScalePageLayoutView="0" workbookViewId="0" topLeftCell="A6">
      <selection activeCell="J27" sqref="J27"/>
    </sheetView>
  </sheetViews>
  <sheetFormatPr defaultColWidth="9.00390625" defaultRowHeight="12.75"/>
  <cols>
    <col min="1" max="1" width="6.875" style="1" customWidth="1"/>
    <col min="2" max="2" width="40.125" style="1" customWidth="1"/>
    <col min="3" max="3" width="6.875" style="1" customWidth="1"/>
    <col min="4" max="4" width="5.125" style="1" hidden="1" customWidth="1"/>
    <col min="5" max="5" width="8.00390625" style="1" customWidth="1"/>
    <col min="6" max="6" width="7.375" style="1" customWidth="1"/>
    <col min="7" max="8" width="8.875" style="1" customWidth="1"/>
    <col min="9" max="9" width="12.25390625" style="1" customWidth="1"/>
    <col min="10" max="10" width="12.375" style="1" customWidth="1"/>
    <col min="11" max="11" width="13.625" style="1" customWidth="1"/>
    <col min="12" max="12" width="12.875" style="1" customWidth="1"/>
    <col min="13" max="13" width="15.375" style="30" customWidth="1"/>
    <col min="14" max="14" width="10.125" style="1" customWidth="1"/>
    <col min="15" max="15" width="40.125" style="1" customWidth="1"/>
    <col min="16" max="16384" width="9.00390625" style="1" customWidth="1"/>
  </cols>
  <sheetData>
    <row r="1" spans="1:13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8" t="s">
        <v>53</v>
      </c>
      <c r="M1"/>
    </row>
    <row r="2" spans="1:13" ht="15.75">
      <c r="A2" s="12"/>
      <c r="B2" s="12"/>
      <c r="C2" s="12"/>
      <c r="D2" s="12"/>
      <c r="E2" s="12"/>
      <c r="F2" s="12"/>
      <c r="G2" s="10"/>
      <c r="H2" s="10"/>
      <c r="L2" s="68" t="s">
        <v>54</v>
      </c>
      <c r="M2"/>
    </row>
    <row r="3" spans="1:13" ht="15.75" customHeight="1">
      <c r="A3" s="12"/>
      <c r="B3" s="12"/>
      <c r="C3" s="12"/>
      <c r="D3" s="12"/>
      <c r="E3" s="12"/>
      <c r="F3" s="12"/>
      <c r="G3" s="10"/>
      <c r="H3" s="10"/>
      <c r="K3" s="29"/>
      <c r="L3" s="68" t="s">
        <v>55</v>
      </c>
      <c r="M3"/>
    </row>
    <row r="4" spans="1:13" ht="15.75">
      <c r="A4" s="12"/>
      <c r="B4" s="20" t="s">
        <v>29</v>
      </c>
      <c r="C4" s="12"/>
      <c r="D4" s="12"/>
      <c r="E4" s="12"/>
      <c r="F4" s="12"/>
      <c r="G4" s="10"/>
      <c r="H4" s="10"/>
      <c r="L4" s="68" t="s">
        <v>57</v>
      </c>
      <c r="M4"/>
    </row>
    <row r="5" spans="1:1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21" t="s">
        <v>45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26"/>
    </row>
    <row r="7" spans="1:12" ht="12.75">
      <c r="A7" s="121" t="s">
        <v>46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6"/>
    </row>
    <row r="8" spans="1:13" ht="12.75">
      <c r="A8" s="121" t="s">
        <v>110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26"/>
      <c r="M8" s="30" t="s">
        <v>29</v>
      </c>
    </row>
    <row r="9" spans="1:13" ht="12.7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27"/>
      <c r="M9" s="70"/>
    </row>
    <row r="10" spans="1:13" ht="12.75" customHeight="1">
      <c r="A10" s="114" t="s">
        <v>0</v>
      </c>
      <c r="B10" s="114" t="s">
        <v>3</v>
      </c>
      <c r="C10" s="114" t="s">
        <v>4</v>
      </c>
      <c r="D10" s="114" t="s">
        <v>5</v>
      </c>
      <c r="E10" s="114" t="s">
        <v>5</v>
      </c>
      <c r="F10" s="114"/>
      <c r="G10" s="114" t="s">
        <v>84</v>
      </c>
      <c r="H10" s="114"/>
      <c r="I10" s="114"/>
      <c r="J10" s="114"/>
      <c r="K10" s="114"/>
      <c r="L10" s="114"/>
      <c r="M10" s="114"/>
    </row>
    <row r="11" spans="1:13" ht="12.75" customHeight="1">
      <c r="A11" s="114"/>
      <c r="B11" s="114"/>
      <c r="C11" s="114"/>
      <c r="D11" s="114"/>
      <c r="E11" s="114"/>
      <c r="F11" s="114"/>
      <c r="G11" s="114" t="s">
        <v>81</v>
      </c>
      <c r="H11" s="116"/>
      <c r="I11" s="114" t="s">
        <v>6</v>
      </c>
      <c r="J11" s="114"/>
      <c r="K11" s="114"/>
      <c r="L11" s="114"/>
      <c r="M11" s="114"/>
    </row>
    <row r="12" spans="1:13" s="28" customFormat="1" ht="32.25" customHeight="1">
      <c r="A12" s="114"/>
      <c r="B12" s="114"/>
      <c r="C12" s="114"/>
      <c r="D12" s="114"/>
      <c r="E12" s="9" t="s">
        <v>39</v>
      </c>
      <c r="F12" s="9" t="s">
        <v>40</v>
      </c>
      <c r="G12" s="9" t="s">
        <v>39</v>
      </c>
      <c r="H12" s="6" t="s">
        <v>40</v>
      </c>
      <c r="I12" s="9" t="s">
        <v>41</v>
      </c>
      <c r="J12" s="9" t="s">
        <v>42</v>
      </c>
      <c r="K12" s="9" t="s">
        <v>43</v>
      </c>
      <c r="L12" s="9" t="s">
        <v>44</v>
      </c>
      <c r="M12" s="11" t="s">
        <v>49</v>
      </c>
    </row>
    <row r="13" spans="1:15" ht="26.25" customHeight="1">
      <c r="A13" s="31"/>
      <c r="B13" s="53" t="s">
        <v>51</v>
      </c>
      <c r="C13" s="32"/>
      <c r="D13" s="32"/>
      <c r="E13" s="32"/>
      <c r="F13" s="32"/>
      <c r="G13" s="33">
        <f>SUM(G14,G54,G58)</f>
        <v>99</v>
      </c>
      <c r="H13" s="33">
        <f>SUM(H14,H54,H58)</f>
        <v>99.07994699999999</v>
      </c>
      <c r="I13" s="33">
        <f>SUM(I54,I14,I58)</f>
        <v>81</v>
      </c>
      <c r="J13" s="33">
        <f>SUM(J54,J14,J58)</f>
        <v>89.07566299999999</v>
      </c>
      <c r="K13" s="33">
        <f>SUM(K54,K14,K58)</f>
        <v>18.000000000000004</v>
      </c>
      <c r="L13" s="33">
        <f>SUM(L54,L14,L58)</f>
        <v>10.004283999999998</v>
      </c>
      <c r="M13" s="55">
        <f>H13/G13</f>
        <v>1.0008075454545453</v>
      </c>
      <c r="N13" s="64"/>
      <c r="O13" s="64"/>
    </row>
    <row r="14" spans="1:14" ht="12.75">
      <c r="A14" s="34" t="s">
        <v>7</v>
      </c>
      <c r="B14" s="35" t="s">
        <v>8</v>
      </c>
      <c r="C14" s="32" t="s">
        <v>13</v>
      </c>
      <c r="D14" s="32"/>
      <c r="E14" s="33">
        <f>SUM(E46,E29,E24,E15)</f>
        <v>45.83</v>
      </c>
      <c r="F14" s="33">
        <f>SUM(F46,F29,F24,F15)</f>
        <v>38</v>
      </c>
      <c r="G14" s="33">
        <f>SUM(G15,G24,G29,G46,G48)</f>
        <v>90</v>
      </c>
      <c r="H14" s="33">
        <f>SUM(H24,H29,H46,H48,H15)</f>
        <v>78.04803399999999</v>
      </c>
      <c r="I14" s="33">
        <f>SUM(I15,I24,I29,I46,I48)</f>
        <v>81</v>
      </c>
      <c r="J14" s="33">
        <f>SUM(J15,J24,J29,J46,J48)</f>
        <v>77.90803399999999</v>
      </c>
      <c r="K14" s="33">
        <f>SUM(K48,K46,K29,K24,K15)</f>
        <v>9.000000000000002</v>
      </c>
      <c r="L14" s="33">
        <f>SUM(L15,L24,L29,L46,L48)</f>
        <v>0.14</v>
      </c>
      <c r="M14" s="65"/>
      <c r="N14" s="64"/>
    </row>
    <row r="15" spans="1:14" ht="27.75" customHeight="1">
      <c r="A15" s="36" t="s">
        <v>9</v>
      </c>
      <c r="B15" s="37" t="s">
        <v>10</v>
      </c>
      <c r="C15" s="38"/>
      <c r="D15" s="38"/>
      <c r="E15" s="39">
        <f aca="true" t="shared" si="0" ref="E15:K15">SUM(E16:E21)</f>
        <v>3.69</v>
      </c>
      <c r="F15" s="39">
        <f>SUM(F16:F23)</f>
        <v>3.4799999999999995</v>
      </c>
      <c r="G15" s="39">
        <f t="shared" si="0"/>
        <v>8.07</v>
      </c>
      <c r="H15" s="39">
        <f>SUM(H16:H23)</f>
        <v>6.761563000000001</v>
      </c>
      <c r="I15" s="39">
        <f t="shared" si="0"/>
        <v>7.27</v>
      </c>
      <c r="J15" s="39">
        <f>SUM(J16:J23)</f>
        <v>6.621563</v>
      </c>
      <c r="K15" s="39">
        <f t="shared" si="0"/>
        <v>0.8</v>
      </c>
      <c r="L15" s="39">
        <f>SUM(L16:L22)</f>
        <v>0.14</v>
      </c>
      <c r="M15" s="66"/>
      <c r="N15" s="64"/>
    </row>
    <row r="16" spans="1:17" ht="14.25" customHeight="1">
      <c r="A16" s="84" t="s">
        <v>24</v>
      </c>
      <c r="B16" s="89" t="s">
        <v>58</v>
      </c>
      <c r="C16" s="9" t="s">
        <v>13</v>
      </c>
      <c r="D16" s="7"/>
      <c r="E16" s="6">
        <v>1.21</v>
      </c>
      <c r="F16" s="6">
        <v>1.36</v>
      </c>
      <c r="G16" s="6">
        <v>2.84</v>
      </c>
      <c r="H16" s="6">
        <f aca="true" t="shared" si="1" ref="H16:H23">SUM(J16)</f>
        <v>2.521526</v>
      </c>
      <c r="I16" s="6">
        <v>2.84</v>
      </c>
      <c r="J16" s="107">
        <f>0.261703+0.257011+2.002812</f>
        <v>2.521526</v>
      </c>
      <c r="K16" s="6"/>
      <c r="L16" s="6"/>
      <c r="M16" s="11" t="s">
        <v>94</v>
      </c>
      <c r="N16" s="72"/>
      <c r="O16" s="88"/>
      <c r="P16" s="72"/>
      <c r="Q16" s="72"/>
    </row>
    <row r="17" spans="1:17" ht="14.25" customHeight="1">
      <c r="A17" s="84" t="s">
        <v>21</v>
      </c>
      <c r="B17" s="89" t="s">
        <v>59</v>
      </c>
      <c r="C17" s="9" t="s">
        <v>13</v>
      </c>
      <c r="D17" s="7"/>
      <c r="E17" s="6">
        <v>1.25</v>
      </c>
      <c r="F17" s="6">
        <v>1.1</v>
      </c>
      <c r="G17" s="6">
        <v>2.92</v>
      </c>
      <c r="H17" s="6">
        <f t="shared" si="1"/>
        <v>1.908534</v>
      </c>
      <c r="I17" s="6">
        <v>2.92</v>
      </c>
      <c r="J17" s="107">
        <f>0.06902+0.231311+1.608203</f>
        <v>1.908534</v>
      </c>
      <c r="K17" s="6"/>
      <c r="L17" s="6"/>
      <c r="M17" s="11" t="s">
        <v>94</v>
      </c>
      <c r="N17" s="72"/>
      <c r="O17" s="88"/>
      <c r="P17" s="72"/>
      <c r="Q17" s="72"/>
    </row>
    <row r="18" spans="1:17" ht="14.25" customHeight="1">
      <c r="A18" s="84" t="s">
        <v>22</v>
      </c>
      <c r="B18" s="89" t="s">
        <v>60</v>
      </c>
      <c r="C18" s="9" t="s">
        <v>13</v>
      </c>
      <c r="D18" s="7"/>
      <c r="E18" s="6">
        <v>0.35</v>
      </c>
      <c r="F18" s="6">
        <v>0.23</v>
      </c>
      <c r="G18" s="6">
        <v>0.62</v>
      </c>
      <c r="H18" s="6">
        <f t="shared" si="1"/>
        <v>0.54</v>
      </c>
      <c r="I18" s="6">
        <v>0.62</v>
      </c>
      <c r="J18" s="107">
        <v>0.54</v>
      </c>
      <c r="K18" s="6"/>
      <c r="L18" s="6"/>
      <c r="M18" s="11" t="s">
        <v>94</v>
      </c>
      <c r="N18" s="72"/>
      <c r="O18" s="88"/>
      <c r="P18" s="72"/>
      <c r="Q18" s="72"/>
    </row>
    <row r="19" spans="1:17" ht="14.25" customHeight="1">
      <c r="A19" s="84" t="s">
        <v>23</v>
      </c>
      <c r="B19" s="89" t="s">
        <v>61</v>
      </c>
      <c r="C19" s="9" t="s">
        <v>13</v>
      </c>
      <c r="D19" s="7"/>
      <c r="E19" s="6">
        <v>0.35</v>
      </c>
      <c r="F19" s="6">
        <v>0.23</v>
      </c>
      <c r="G19" s="6">
        <v>0.62</v>
      </c>
      <c r="H19" s="6">
        <f t="shared" si="1"/>
        <v>0.51</v>
      </c>
      <c r="I19" s="6">
        <v>0.62</v>
      </c>
      <c r="J19" s="107">
        <v>0.51</v>
      </c>
      <c r="K19" s="6"/>
      <c r="L19" s="6"/>
      <c r="M19" s="11" t="s">
        <v>94</v>
      </c>
      <c r="N19" s="72"/>
      <c r="O19" s="88"/>
      <c r="P19" s="72"/>
      <c r="Q19" s="72"/>
    </row>
    <row r="20" spans="1:17" ht="14.25" customHeight="1">
      <c r="A20" s="84" t="s">
        <v>34</v>
      </c>
      <c r="B20" s="89" t="s">
        <v>62</v>
      </c>
      <c r="C20" s="9" t="s">
        <v>13</v>
      </c>
      <c r="D20" s="7"/>
      <c r="E20" s="6">
        <v>0.15</v>
      </c>
      <c r="F20" s="6">
        <v>0.17</v>
      </c>
      <c r="G20" s="6">
        <v>0.27</v>
      </c>
      <c r="H20" s="6">
        <f t="shared" si="1"/>
        <v>0.268503</v>
      </c>
      <c r="I20" s="6">
        <v>0.27</v>
      </c>
      <c r="J20" s="6">
        <f>0.268503</f>
        <v>0.268503</v>
      </c>
      <c r="K20" s="6"/>
      <c r="L20" s="6"/>
      <c r="M20" s="11" t="s">
        <v>94</v>
      </c>
      <c r="N20" s="72"/>
      <c r="O20" s="88"/>
      <c r="P20" s="72"/>
      <c r="Q20" s="72"/>
    </row>
    <row r="21" spans="1:17" ht="14.25" customHeight="1">
      <c r="A21" s="84" t="s">
        <v>35</v>
      </c>
      <c r="B21" s="89" t="s">
        <v>63</v>
      </c>
      <c r="C21" s="9" t="s">
        <v>13</v>
      </c>
      <c r="D21" s="7"/>
      <c r="E21" s="6">
        <v>0.38</v>
      </c>
      <c r="F21" s="6">
        <v>0.03</v>
      </c>
      <c r="G21" s="6">
        <v>0.8</v>
      </c>
      <c r="H21" s="6">
        <f>SUM(J21,L21)</f>
        <v>0.28</v>
      </c>
      <c r="I21" s="6"/>
      <c r="J21" s="6">
        <v>0.14</v>
      </c>
      <c r="K21" s="6">
        <v>0.8</v>
      </c>
      <c r="L21" s="107">
        <v>0.14</v>
      </c>
      <c r="M21" s="11" t="s">
        <v>94</v>
      </c>
      <c r="N21" s="72"/>
      <c r="O21" s="72"/>
      <c r="P21" s="72"/>
      <c r="Q21" s="72"/>
    </row>
    <row r="22" spans="1:17" ht="14.25" customHeight="1">
      <c r="A22" s="84" t="s">
        <v>27</v>
      </c>
      <c r="B22" s="106" t="s">
        <v>95</v>
      </c>
      <c r="C22" s="9" t="s">
        <v>13</v>
      </c>
      <c r="D22" s="7"/>
      <c r="E22" s="6"/>
      <c r="F22" s="6">
        <v>0.21</v>
      </c>
      <c r="G22" s="6"/>
      <c r="H22" s="6">
        <f t="shared" si="1"/>
        <v>0.56</v>
      </c>
      <c r="I22" s="6"/>
      <c r="J22" s="6">
        <v>0.56</v>
      </c>
      <c r="K22" s="6"/>
      <c r="L22" s="107"/>
      <c r="M22" s="11" t="s">
        <v>94</v>
      </c>
      <c r="N22" s="72"/>
      <c r="O22" s="72"/>
      <c r="P22" s="72"/>
      <c r="Q22" s="72"/>
    </row>
    <row r="23" spans="1:17" ht="14.25" customHeight="1">
      <c r="A23" s="84" t="s">
        <v>31</v>
      </c>
      <c r="B23" s="106" t="s">
        <v>108</v>
      </c>
      <c r="C23" s="9" t="s">
        <v>13</v>
      </c>
      <c r="D23" s="7"/>
      <c r="E23" s="6"/>
      <c r="F23" s="6">
        <v>0.15</v>
      </c>
      <c r="G23" s="6"/>
      <c r="H23" s="6">
        <f t="shared" si="1"/>
        <v>0.173</v>
      </c>
      <c r="I23" s="6"/>
      <c r="J23" s="6">
        <v>0.173</v>
      </c>
      <c r="K23" s="6"/>
      <c r="L23" s="107"/>
      <c r="M23" s="11" t="s">
        <v>94</v>
      </c>
      <c r="N23" s="72"/>
      <c r="O23" s="72"/>
      <c r="P23" s="72"/>
      <c r="Q23" s="72"/>
    </row>
    <row r="24" spans="1:17" ht="12.75">
      <c r="A24" s="40" t="s">
        <v>19</v>
      </c>
      <c r="B24" s="41" t="s">
        <v>20</v>
      </c>
      <c r="C24" s="42" t="s">
        <v>13</v>
      </c>
      <c r="D24" s="42"/>
      <c r="E24" s="39">
        <f>SUM(E25:E28)</f>
        <v>7.3</v>
      </c>
      <c r="F24" s="39">
        <f>SUM(F25:F28)</f>
        <v>1.58</v>
      </c>
      <c r="G24" s="39">
        <f aca="true" t="shared" si="2" ref="G24:L24">SUM(G25:G28)</f>
        <v>14.030000000000001</v>
      </c>
      <c r="H24" s="39">
        <f>SUM(H25:H28)</f>
        <v>10.544266</v>
      </c>
      <c r="I24" s="39">
        <f t="shared" si="2"/>
        <v>14.030000000000001</v>
      </c>
      <c r="J24" s="39">
        <f>SUM(J25:J28)</f>
        <v>10.544266</v>
      </c>
      <c r="K24" s="39">
        <f t="shared" si="2"/>
        <v>0</v>
      </c>
      <c r="L24" s="39">
        <f t="shared" si="2"/>
        <v>0</v>
      </c>
      <c r="M24" s="85"/>
      <c r="N24" s="120"/>
      <c r="O24" s="120"/>
      <c r="P24" s="72"/>
      <c r="Q24" s="72"/>
    </row>
    <row r="25" spans="1:17" ht="12.75">
      <c r="A25" s="11" t="s">
        <v>24</v>
      </c>
      <c r="B25" s="89" t="s">
        <v>64</v>
      </c>
      <c r="C25" s="9" t="s">
        <v>13</v>
      </c>
      <c r="D25" s="6"/>
      <c r="E25" s="6">
        <v>1.5</v>
      </c>
      <c r="F25" s="6">
        <v>1.28</v>
      </c>
      <c r="G25" s="6">
        <v>3.05</v>
      </c>
      <c r="H25" s="6">
        <f>J25</f>
        <v>2.583155</v>
      </c>
      <c r="I25" s="6">
        <v>3.05</v>
      </c>
      <c r="J25" s="107">
        <f>0.679599+0.699401+1.204155</f>
        <v>2.583155</v>
      </c>
      <c r="K25" s="6"/>
      <c r="L25" s="6"/>
      <c r="M25" s="109">
        <v>1</v>
      </c>
      <c r="N25" s="73"/>
      <c r="O25" s="72"/>
      <c r="P25" s="72"/>
      <c r="Q25" s="72"/>
    </row>
    <row r="26" spans="1:17" ht="12.75">
      <c r="A26" s="11" t="s">
        <v>21</v>
      </c>
      <c r="B26" s="113" t="s">
        <v>65</v>
      </c>
      <c r="C26" s="9" t="s">
        <v>13</v>
      </c>
      <c r="D26" s="6"/>
      <c r="E26" s="6">
        <v>2.5</v>
      </c>
      <c r="F26" s="6"/>
      <c r="G26" s="6">
        <v>4.67</v>
      </c>
      <c r="H26" s="6">
        <f>J26</f>
        <v>3.23354</v>
      </c>
      <c r="I26" s="6">
        <v>4.67</v>
      </c>
      <c r="J26" s="107">
        <f>0.185781+0.671839+0.056467+1.935453+0.384</f>
        <v>3.23354</v>
      </c>
      <c r="K26" s="6"/>
      <c r="L26" s="6"/>
      <c r="M26" s="109">
        <v>1</v>
      </c>
      <c r="N26" s="73"/>
      <c r="O26" s="72"/>
      <c r="P26" s="72"/>
      <c r="Q26" s="72"/>
    </row>
    <row r="27" spans="1:17" ht="12.75">
      <c r="A27" s="11" t="s">
        <v>22</v>
      </c>
      <c r="B27" s="113" t="s">
        <v>66</v>
      </c>
      <c r="C27" s="9" t="s">
        <v>13</v>
      </c>
      <c r="D27" s="6"/>
      <c r="E27" s="6">
        <v>3</v>
      </c>
      <c r="F27" s="6"/>
      <c r="G27" s="6">
        <v>5.6</v>
      </c>
      <c r="H27" s="6">
        <f>J27</f>
        <v>4.020246</v>
      </c>
      <c r="I27" s="6">
        <v>5.6</v>
      </c>
      <c r="J27" s="112">
        <f>0.247546+0.477526+0.5429+0.789323+1.962951</f>
        <v>4.020246</v>
      </c>
      <c r="K27" s="6"/>
      <c r="L27" s="6"/>
      <c r="M27" s="109">
        <v>1</v>
      </c>
      <c r="N27" s="74"/>
      <c r="O27" s="75"/>
      <c r="P27" s="72"/>
      <c r="Q27" s="72"/>
    </row>
    <row r="28" spans="1:17" ht="12.75">
      <c r="A28" s="11" t="s">
        <v>23</v>
      </c>
      <c r="B28" s="89" t="s">
        <v>67</v>
      </c>
      <c r="C28" s="9" t="s">
        <v>13</v>
      </c>
      <c r="D28" s="6"/>
      <c r="E28" s="6">
        <v>0.3</v>
      </c>
      <c r="F28" s="6">
        <v>0.3</v>
      </c>
      <c r="G28" s="6">
        <v>0.71</v>
      </c>
      <c r="H28" s="6">
        <f>J28</f>
        <v>0.707325</v>
      </c>
      <c r="I28" s="6">
        <v>0.71</v>
      </c>
      <c r="J28" s="107">
        <f>0.042158+0.299743+0.365424</f>
        <v>0.707325</v>
      </c>
      <c r="K28" s="6"/>
      <c r="L28" s="6"/>
      <c r="M28" s="11" t="s">
        <v>94</v>
      </c>
      <c r="N28" s="74"/>
      <c r="O28" s="72"/>
      <c r="P28" s="72"/>
      <c r="Q28" s="72"/>
    </row>
    <row r="29" spans="1:17" ht="25.5">
      <c r="A29" s="43" t="s">
        <v>11</v>
      </c>
      <c r="B29" s="44" t="s">
        <v>14</v>
      </c>
      <c r="C29" s="45" t="s">
        <v>13</v>
      </c>
      <c r="D29" s="39"/>
      <c r="E29" s="39">
        <f aca="true" t="shared" si="3" ref="E29:L29">SUM(E30:E44)</f>
        <v>32.34</v>
      </c>
      <c r="F29" s="39">
        <f t="shared" si="3"/>
        <v>29.300000000000004</v>
      </c>
      <c r="G29" s="39">
        <f t="shared" si="3"/>
        <v>49.82</v>
      </c>
      <c r="H29" s="39">
        <f>SUM(H30:H45)</f>
        <v>41.29131099999999</v>
      </c>
      <c r="I29" s="39">
        <f t="shared" si="3"/>
        <v>49.82</v>
      </c>
      <c r="J29" s="39">
        <f>SUM(J30:J45)</f>
        <v>41.29131099999999</v>
      </c>
      <c r="K29" s="39">
        <f t="shared" si="3"/>
        <v>0</v>
      </c>
      <c r="L29" s="39">
        <f t="shared" si="3"/>
        <v>0</v>
      </c>
      <c r="M29" s="86"/>
      <c r="N29" s="74"/>
      <c r="O29" s="72"/>
      <c r="P29" s="72"/>
      <c r="Q29" s="72"/>
    </row>
    <row r="30" spans="1:17" ht="12.75">
      <c r="A30" s="19" t="s">
        <v>24</v>
      </c>
      <c r="B30" s="90" t="s">
        <v>68</v>
      </c>
      <c r="C30" s="6" t="s">
        <v>13</v>
      </c>
      <c r="D30" s="7"/>
      <c r="E30" s="7">
        <v>4.1</v>
      </c>
      <c r="F30" s="7">
        <v>2.8</v>
      </c>
      <c r="G30" s="7">
        <v>6.03</v>
      </c>
      <c r="H30" s="69">
        <f>J30</f>
        <v>3.347584</v>
      </c>
      <c r="I30" s="7">
        <v>6.03</v>
      </c>
      <c r="J30" s="108">
        <f>0.169782+0.866579+0.480467+0.877488+0.953268</f>
        <v>3.347584</v>
      </c>
      <c r="K30" s="6"/>
      <c r="L30" s="6"/>
      <c r="M30" s="109">
        <v>1</v>
      </c>
      <c r="N30" s="73"/>
      <c r="O30" s="72"/>
      <c r="P30" s="72"/>
      <c r="Q30" s="72"/>
    </row>
    <row r="31" spans="1:17" ht="12.75">
      <c r="A31" s="19" t="s">
        <v>21</v>
      </c>
      <c r="B31" s="90" t="s">
        <v>92</v>
      </c>
      <c r="C31" s="6" t="s">
        <v>13</v>
      </c>
      <c r="D31" s="7"/>
      <c r="E31" s="7">
        <v>4.5</v>
      </c>
      <c r="F31" s="7">
        <v>4.49</v>
      </c>
      <c r="G31" s="7">
        <v>6.87</v>
      </c>
      <c r="H31" s="69">
        <f aca="true" t="shared" si="4" ref="H31:H44">J31</f>
        <v>5.95</v>
      </c>
      <c r="I31" s="7">
        <v>6.87</v>
      </c>
      <c r="J31" s="108">
        <v>5.95</v>
      </c>
      <c r="K31" s="14"/>
      <c r="L31" s="14"/>
      <c r="M31" s="11" t="s">
        <v>94</v>
      </c>
      <c r="N31" s="73"/>
      <c r="O31" s="72"/>
      <c r="P31" s="72"/>
      <c r="Q31" s="72"/>
    </row>
    <row r="32" spans="1:17" ht="12.75">
      <c r="A32" s="19" t="s">
        <v>22</v>
      </c>
      <c r="B32" s="90" t="s">
        <v>91</v>
      </c>
      <c r="C32" s="6" t="s">
        <v>13</v>
      </c>
      <c r="D32" s="7"/>
      <c r="E32" s="6">
        <v>1.15</v>
      </c>
      <c r="F32" s="6">
        <v>1.09</v>
      </c>
      <c r="G32" s="6">
        <v>2.15</v>
      </c>
      <c r="H32" s="69">
        <f t="shared" si="4"/>
        <v>2.063245</v>
      </c>
      <c r="I32" s="6">
        <v>2.15</v>
      </c>
      <c r="J32" s="107">
        <f>0.050552+0.12094+1.891753</f>
        <v>2.063245</v>
      </c>
      <c r="K32" s="14"/>
      <c r="L32" s="14"/>
      <c r="M32" s="11" t="s">
        <v>94</v>
      </c>
      <c r="N32" s="76"/>
      <c r="O32" s="72"/>
      <c r="P32" s="72"/>
      <c r="Q32" s="72"/>
    </row>
    <row r="33" spans="1:17" ht="12.75">
      <c r="A33" s="19" t="s">
        <v>23</v>
      </c>
      <c r="B33" s="90" t="s">
        <v>69</v>
      </c>
      <c r="C33" s="6" t="s">
        <v>13</v>
      </c>
      <c r="D33" s="7"/>
      <c r="E33" s="6">
        <v>1.09</v>
      </c>
      <c r="F33" s="6">
        <v>1.11</v>
      </c>
      <c r="G33" s="6">
        <v>1.74</v>
      </c>
      <c r="H33" s="69">
        <f t="shared" si="4"/>
        <v>1.7035819999999997</v>
      </c>
      <c r="I33" s="6">
        <v>1.74</v>
      </c>
      <c r="J33" s="107">
        <f>0.10908+0.283262+1.011175+0.270876+0.015431+0.013758</f>
        <v>1.7035819999999997</v>
      </c>
      <c r="K33" s="14"/>
      <c r="L33" s="14"/>
      <c r="M33" s="11" t="s">
        <v>94</v>
      </c>
      <c r="N33" s="77"/>
      <c r="O33" s="72"/>
      <c r="P33" s="72"/>
      <c r="Q33" s="72"/>
    </row>
    <row r="34" spans="1:17" s="8" customFormat="1" ht="12.75">
      <c r="A34" s="19" t="s">
        <v>34</v>
      </c>
      <c r="B34" s="90" t="s">
        <v>70</v>
      </c>
      <c r="C34" s="6" t="s">
        <v>13</v>
      </c>
      <c r="D34" s="7"/>
      <c r="E34" s="7">
        <v>1.9</v>
      </c>
      <c r="F34" s="7">
        <v>1.98</v>
      </c>
      <c r="G34" s="7">
        <v>3.04</v>
      </c>
      <c r="H34" s="69">
        <f>J34</f>
        <v>2.6302749999999997</v>
      </c>
      <c r="I34" s="7">
        <v>3.04</v>
      </c>
      <c r="J34" s="108">
        <f>0.14745+0.426728+0.273327+0.315094+0.06791+0.064843+0.06791+0.557532+0.418348+0.291133</f>
        <v>2.6302749999999997</v>
      </c>
      <c r="K34" s="14" t="s">
        <v>29</v>
      </c>
      <c r="L34" s="14" t="s">
        <v>29</v>
      </c>
      <c r="M34" s="11" t="s">
        <v>94</v>
      </c>
      <c r="N34" s="78"/>
      <c r="O34" s="78"/>
      <c r="P34" s="79"/>
      <c r="Q34" s="78"/>
    </row>
    <row r="35" spans="1:17" ht="12.75">
      <c r="A35" s="19" t="s">
        <v>35</v>
      </c>
      <c r="B35" s="90" t="s">
        <v>87</v>
      </c>
      <c r="C35" s="6" t="s">
        <v>13</v>
      </c>
      <c r="D35" s="7"/>
      <c r="E35" s="7">
        <v>2.7</v>
      </c>
      <c r="F35" s="7">
        <f>0.8+1.973</f>
        <v>2.773</v>
      </c>
      <c r="G35" s="7">
        <v>4.08</v>
      </c>
      <c r="H35" s="69">
        <f t="shared" si="4"/>
        <v>3.3054300000000003</v>
      </c>
      <c r="I35" s="7">
        <v>4.08</v>
      </c>
      <c r="J35" s="108">
        <f>2.137032+1.168398</f>
        <v>3.3054300000000003</v>
      </c>
      <c r="K35" s="6" t="s">
        <v>29</v>
      </c>
      <c r="L35" s="6" t="s">
        <v>29</v>
      </c>
      <c r="M35" s="11" t="s">
        <v>94</v>
      </c>
      <c r="N35" s="72"/>
      <c r="O35" s="72"/>
      <c r="P35" s="74"/>
      <c r="Q35" s="72"/>
    </row>
    <row r="36" spans="1:17" ht="12.75">
      <c r="A36" s="19" t="s">
        <v>27</v>
      </c>
      <c r="B36" s="90" t="s">
        <v>88</v>
      </c>
      <c r="C36" s="6" t="s">
        <v>13</v>
      </c>
      <c r="D36" s="7"/>
      <c r="E36" s="7">
        <v>2.55</v>
      </c>
      <c r="F36" s="7">
        <v>2.5</v>
      </c>
      <c r="G36" s="7">
        <v>4.11</v>
      </c>
      <c r="H36" s="69">
        <f t="shared" si="4"/>
        <v>3.857082</v>
      </c>
      <c r="I36" s="7">
        <v>4.11</v>
      </c>
      <c r="J36" s="108">
        <f>0.070841+0.439431+0.248334+0.527123+0.466885+0.477487+0.45683+0.67496+0.44439+0.01062+0.012149+0.005988+0.022044</f>
        <v>3.857082</v>
      </c>
      <c r="K36" s="14"/>
      <c r="L36" s="14"/>
      <c r="M36" s="11" t="s">
        <v>94</v>
      </c>
      <c r="N36" s="80"/>
      <c r="O36" s="71"/>
      <c r="P36" s="72"/>
      <c r="Q36" s="72"/>
    </row>
    <row r="37" spans="1:17" ht="12.75">
      <c r="A37" s="19" t="s">
        <v>31</v>
      </c>
      <c r="B37" s="90" t="s">
        <v>71</v>
      </c>
      <c r="C37" s="6" t="s">
        <v>13</v>
      </c>
      <c r="D37" s="7"/>
      <c r="E37" s="7">
        <v>3</v>
      </c>
      <c r="F37" s="7">
        <v>2.55</v>
      </c>
      <c r="G37" s="7">
        <v>4.81</v>
      </c>
      <c r="H37" s="69">
        <f t="shared" si="4"/>
        <v>3.741537</v>
      </c>
      <c r="I37" s="7">
        <v>4.81</v>
      </c>
      <c r="J37" s="108">
        <f>0.193049+0.756477+0.544549+0.389651+0.043431+0.04105+0.054105+0.50831+0.5047+0.556164+0.150051</f>
        <v>3.741537</v>
      </c>
      <c r="K37" s="14"/>
      <c r="L37" s="14"/>
      <c r="M37" s="11" t="s">
        <v>94</v>
      </c>
      <c r="N37" s="72"/>
      <c r="O37" s="72"/>
      <c r="P37" s="72"/>
      <c r="Q37" s="72"/>
    </row>
    <row r="38" spans="1:17" ht="12.75">
      <c r="A38" s="19" t="s">
        <v>32</v>
      </c>
      <c r="B38" s="90" t="s">
        <v>93</v>
      </c>
      <c r="C38" s="6" t="s">
        <v>13</v>
      </c>
      <c r="D38" s="7"/>
      <c r="E38" s="7">
        <v>0.69</v>
      </c>
      <c r="F38" s="7">
        <v>0.51</v>
      </c>
      <c r="G38" s="7">
        <v>1.1</v>
      </c>
      <c r="H38" s="69">
        <f t="shared" si="4"/>
        <v>0.9097789999999999</v>
      </c>
      <c r="I38" s="7">
        <v>1.1</v>
      </c>
      <c r="J38" s="108">
        <f>0.021318+0.888461</f>
        <v>0.9097789999999999</v>
      </c>
      <c r="K38" s="14"/>
      <c r="L38" s="14"/>
      <c r="M38" s="11" t="s">
        <v>94</v>
      </c>
      <c r="N38" s="72"/>
      <c r="O38" s="72"/>
      <c r="P38" s="72"/>
      <c r="Q38" s="72"/>
    </row>
    <row r="39" spans="1:17" ht="12.75">
      <c r="A39" s="19" t="s">
        <v>28</v>
      </c>
      <c r="B39" s="90" t="s">
        <v>72</v>
      </c>
      <c r="C39" s="6" t="s">
        <v>13</v>
      </c>
      <c r="D39" s="7"/>
      <c r="E39" s="7">
        <v>0.73</v>
      </c>
      <c r="F39" s="7">
        <f>0.627</f>
        <v>0.627</v>
      </c>
      <c r="G39" s="7">
        <v>1.16</v>
      </c>
      <c r="H39" s="69">
        <f t="shared" si="4"/>
        <v>1.04046</v>
      </c>
      <c r="I39" s="7">
        <v>1.16</v>
      </c>
      <c r="J39" s="108">
        <f>0.714247+0.326213</f>
        <v>1.04046</v>
      </c>
      <c r="K39" s="7" t="s">
        <v>29</v>
      </c>
      <c r="L39" s="7" t="s">
        <v>29</v>
      </c>
      <c r="M39" s="11" t="s">
        <v>94</v>
      </c>
      <c r="N39" s="72"/>
      <c r="O39" s="72"/>
      <c r="P39" s="72"/>
      <c r="Q39" s="72"/>
    </row>
    <row r="40" spans="1:17" ht="12.75">
      <c r="A40" s="19" t="s">
        <v>33</v>
      </c>
      <c r="B40" s="90" t="s">
        <v>90</v>
      </c>
      <c r="C40" s="6" t="s">
        <v>13</v>
      </c>
      <c r="D40" s="7"/>
      <c r="E40" s="7">
        <v>1.8</v>
      </c>
      <c r="F40" s="7">
        <v>1.66</v>
      </c>
      <c r="G40" s="7">
        <v>2.89</v>
      </c>
      <c r="H40" s="69">
        <f t="shared" si="4"/>
        <v>1.9121890000000001</v>
      </c>
      <c r="I40" s="7">
        <v>2.89</v>
      </c>
      <c r="J40" s="108">
        <f>0.680935+1.231254</f>
        <v>1.9121890000000001</v>
      </c>
      <c r="K40" s="7" t="s">
        <v>29</v>
      </c>
      <c r="L40" s="7" t="s">
        <v>29</v>
      </c>
      <c r="M40" s="11" t="s">
        <v>94</v>
      </c>
      <c r="N40" s="72"/>
      <c r="O40" s="72"/>
      <c r="P40" s="72"/>
      <c r="Q40" s="72"/>
    </row>
    <row r="41" spans="1:17" s="21" customFormat="1" ht="12.75">
      <c r="A41" s="19" t="s">
        <v>36</v>
      </c>
      <c r="B41" s="89" t="s">
        <v>73</v>
      </c>
      <c r="C41" s="22" t="s">
        <v>13</v>
      </c>
      <c r="D41" s="22"/>
      <c r="E41" s="22">
        <v>1.8</v>
      </c>
      <c r="F41" s="22">
        <v>1.75</v>
      </c>
      <c r="G41" s="22">
        <v>2.88</v>
      </c>
      <c r="H41" s="69">
        <f t="shared" si="4"/>
        <v>2.8135529999999997</v>
      </c>
      <c r="I41" s="22">
        <v>2.88</v>
      </c>
      <c r="J41" s="107">
        <f>0.463769+0.04916+0.008552+0.141926+1.9087+0.132081+0.09874+0.010625</f>
        <v>2.8135529999999997</v>
      </c>
      <c r="K41" s="22"/>
      <c r="L41" s="22"/>
      <c r="M41" s="11" t="s">
        <v>94</v>
      </c>
      <c r="N41" s="72"/>
      <c r="O41" s="72"/>
      <c r="P41" s="72"/>
      <c r="Q41" s="72"/>
    </row>
    <row r="42" spans="1:17" s="21" customFormat="1" ht="12.75">
      <c r="A42" s="19" t="s">
        <v>37</v>
      </c>
      <c r="B42" s="89" t="s">
        <v>89</v>
      </c>
      <c r="C42" s="22" t="s">
        <v>13</v>
      </c>
      <c r="D42" s="22"/>
      <c r="E42" s="22">
        <v>1.7</v>
      </c>
      <c r="F42" s="22">
        <v>0.87</v>
      </c>
      <c r="G42" s="22">
        <v>2.72</v>
      </c>
      <c r="H42" s="69">
        <f t="shared" si="4"/>
        <v>1.793217</v>
      </c>
      <c r="I42" s="22">
        <v>2.72</v>
      </c>
      <c r="J42" s="107">
        <f>0.025936+0.225341+0.136949+1.404991</f>
        <v>1.793217</v>
      </c>
      <c r="K42" s="22" t="s">
        <v>29</v>
      </c>
      <c r="L42" s="22" t="s">
        <v>29</v>
      </c>
      <c r="M42" s="87" t="s">
        <v>94</v>
      </c>
      <c r="N42" s="72"/>
      <c r="O42" s="72"/>
      <c r="P42" s="72"/>
      <c r="Q42" s="72"/>
    </row>
    <row r="43" spans="1:17" s="21" customFormat="1" ht="12.75">
      <c r="A43" s="19" t="s">
        <v>38</v>
      </c>
      <c r="B43" s="89" t="s">
        <v>74</v>
      </c>
      <c r="C43" s="22" t="s">
        <v>13</v>
      </c>
      <c r="D43" s="22"/>
      <c r="E43" s="22">
        <v>3.6</v>
      </c>
      <c r="F43" s="22">
        <v>3.59</v>
      </c>
      <c r="G43" s="22">
        <v>4.6</v>
      </c>
      <c r="H43" s="69">
        <f t="shared" si="4"/>
        <v>4.58891</v>
      </c>
      <c r="I43" s="22">
        <v>4.6</v>
      </c>
      <c r="J43" s="107">
        <f>0.54004+0.185602+3.863268</f>
        <v>4.58891</v>
      </c>
      <c r="K43" s="22"/>
      <c r="L43" s="22"/>
      <c r="M43" s="11" t="s">
        <v>94</v>
      </c>
      <c r="N43" s="72"/>
      <c r="O43" s="72"/>
      <c r="P43" s="72"/>
      <c r="Q43" s="72"/>
    </row>
    <row r="44" spans="1:17" s="21" customFormat="1" ht="12.75">
      <c r="A44" s="19" t="s">
        <v>52</v>
      </c>
      <c r="B44" s="89" t="s">
        <v>75</v>
      </c>
      <c r="C44" s="22" t="s">
        <v>13</v>
      </c>
      <c r="D44" s="22"/>
      <c r="E44" s="22">
        <v>1.03</v>
      </c>
      <c r="F44" s="22">
        <v>1</v>
      </c>
      <c r="G44" s="22">
        <v>1.64</v>
      </c>
      <c r="H44" s="69">
        <f t="shared" si="4"/>
        <v>1.526311</v>
      </c>
      <c r="I44" s="22">
        <v>1.64</v>
      </c>
      <c r="J44" s="107">
        <f>1.526311</f>
        <v>1.526311</v>
      </c>
      <c r="K44" s="22"/>
      <c r="L44" s="22"/>
      <c r="M44" s="87" t="s">
        <v>94</v>
      </c>
      <c r="N44" s="80"/>
      <c r="O44" s="72"/>
      <c r="P44" s="72"/>
      <c r="Q44" s="72"/>
    </row>
    <row r="45" spans="1:17" s="21" customFormat="1" ht="14.25" customHeight="1">
      <c r="A45" s="19" t="s">
        <v>98</v>
      </c>
      <c r="B45" s="106" t="s">
        <v>101</v>
      </c>
      <c r="C45" s="22"/>
      <c r="D45" s="22"/>
      <c r="E45" s="22"/>
      <c r="F45" s="22">
        <v>0.25</v>
      </c>
      <c r="G45" s="22"/>
      <c r="H45" s="69">
        <f>SUM(J45)</f>
        <v>0.108157</v>
      </c>
      <c r="I45" s="22"/>
      <c r="J45" s="107">
        <f>0.076754+0.031403</f>
        <v>0.108157</v>
      </c>
      <c r="K45" s="22"/>
      <c r="L45" s="22"/>
      <c r="M45" s="87"/>
      <c r="N45" s="80"/>
      <c r="O45" s="72"/>
      <c r="P45" s="72"/>
      <c r="Q45" s="72"/>
    </row>
    <row r="46" spans="1:17" ht="15" customHeight="1">
      <c r="A46" s="46" t="s">
        <v>12</v>
      </c>
      <c r="B46" s="37" t="s">
        <v>1</v>
      </c>
      <c r="C46" s="39" t="s">
        <v>13</v>
      </c>
      <c r="D46" s="39"/>
      <c r="E46" s="39">
        <f aca="true" t="shared" si="5" ref="E46:J46">E47</f>
        <v>2.5</v>
      </c>
      <c r="F46" s="39">
        <f t="shared" si="5"/>
        <v>3.64</v>
      </c>
      <c r="G46" s="39">
        <f t="shared" si="5"/>
        <v>2.8</v>
      </c>
      <c r="H46" s="39">
        <f>H47</f>
        <v>4.33</v>
      </c>
      <c r="I46" s="39">
        <f t="shared" si="5"/>
        <v>1.5</v>
      </c>
      <c r="J46" s="39">
        <f t="shared" si="5"/>
        <v>4.33</v>
      </c>
      <c r="K46" s="39">
        <f>SUM(K47)</f>
        <v>1.3</v>
      </c>
      <c r="L46" s="39">
        <f>L47</f>
        <v>0</v>
      </c>
      <c r="M46" s="86"/>
      <c r="N46" s="72"/>
      <c r="O46" s="72"/>
      <c r="P46" s="72"/>
      <c r="Q46" s="72"/>
    </row>
    <row r="47" spans="1:17" ht="48">
      <c r="A47" s="11" t="s">
        <v>24</v>
      </c>
      <c r="B47" s="91" t="s">
        <v>76</v>
      </c>
      <c r="C47" s="6" t="s">
        <v>13</v>
      </c>
      <c r="D47" s="6"/>
      <c r="E47" s="6">
        <v>2.5</v>
      </c>
      <c r="F47" s="6">
        <v>3.64</v>
      </c>
      <c r="G47" s="6">
        <v>2.8</v>
      </c>
      <c r="H47" s="107">
        <f>J47+L47</f>
        <v>4.33</v>
      </c>
      <c r="I47" s="6">
        <v>1.5</v>
      </c>
      <c r="J47" s="107">
        <v>4.33</v>
      </c>
      <c r="K47" s="6">
        <v>1.3</v>
      </c>
      <c r="L47" s="107"/>
      <c r="M47" s="11" t="s">
        <v>94</v>
      </c>
      <c r="N47" s="72"/>
      <c r="O47" s="72"/>
      <c r="P47" s="72"/>
      <c r="Q47" s="72"/>
    </row>
    <row r="48" spans="1:17" ht="15" customHeight="1">
      <c r="A48" s="46" t="s">
        <v>16</v>
      </c>
      <c r="B48" s="37" t="s">
        <v>18</v>
      </c>
      <c r="C48" s="39" t="s">
        <v>26</v>
      </c>
      <c r="D48" s="39"/>
      <c r="E48" s="47" t="s">
        <v>96</v>
      </c>
      <c r="F48" s="47" t="s">
        <v>97</v>
      </c>
      <c r="G48" s="39">
        <f>SUM(G49:G52)</f>
        <v>15.280000000000001</v>
      </c>
      <c r="H48" s="39">
        <f>SUM(H49:H53)</f>
        <v>15.120894</v>
      </c>
      <c r="I48" s="39">
        <f>SUM(I49:I52)</f>
        <v>8.38</v>
      </c>
      <c r="J48" s="39">
        <f>SUM(J49:J53)</f>
        <v>15.120894</v>
      </c>
      <c r="K48" s="39">
        <f>SUM(K49:K52)</f>
        <v>6.9</v>
      </c>
      <c r="L48" s="39">
        <f>SUM(L49:L52)</f>
        <v>0</v>
      </c>
      <c r="M48" s="86"/>
      <c r="N48" s="72"/>
      <c r="O48" s="72"/>
      <c r="P48" s="118"/>
      <c r="Q48" s="119"/>
    </row>
    <row r="49" spans="1:17" ht="12.75">
      <c r="A49" s="11" t="s">
        <v>24</v>
      </c>
      <c r="B49" s="91" t="s">
        <v>77</v>
      </c>
      <c r="C49" s="6" t="s">
        <v>15</v>
      </c>
      <c r="D49" s="6"/>
      <c r="E49" s="11" t="s">
        <v>24</v>
      </c>
      <c r="F49" s="11"/>
      <c r="G49" s="6">
        <v>4.2</v>
      </c>
      <c r="H49" s="6">
        <f>SUM(J49)</f>
        <v>4.27</v>
      </c>
      <c r="I49" s="6"/>
      <c r="J49" s="6">
        <v>4.27</v>
      </c>
      <c r="K49" s="6">
        <v>4.2</v>
      </c>
      <c r="L49" s="6"/>
      <c r="M49" s="11"/>
      <c r="N49" s="72"/>
      <c r="O49" s="72"/>
      <c r="P49" s="81"/>
      <c r="Q49" s="81"/>
    </row>
    <row r="50" spans="1:17" ht="25.5">
      <c r="A50" s="11" t="s">
        <v>21</v>
      </c>
      <c r="B50" s="92" t="s">
        <v>100</v>
      </c>
      <c r="C50" s="6" t="s">
        <v>15</v>
      </c>
      <c r="D50" s="6"/>
      <c r="E50" s="11" t="s">
        <v>22</v>
      </c>
      <c r="F50" s="11" t="s">
        <v>22</v>
      </c>
      <c r="G50" s="6">
        <v>3.6</v>
      </c>
      <c r="H50" s="6">
        <f>J50+L50</f>
        <v>2.285411</v>
      </c>
      <c r="I50" s="6">
        <v>2.6</v>
      </c>
      <c r="J50" s="6">
        <f>0.659305+0.910522+0.715584</f>
        <v>2.285411</v>
      </c>
      <c r="K50" s="6">
        <v>1</v>
      </c>
      <c r="L50" s="6"/>
      <c r="M50" s="11" t="s">
        <v>94</v>
      </c>
      <c r="N50" s="72"/>
      <c r="O50" s="72"/>
      <c r="P50" s="81"/>
      <c r="Q50" s="81"/>
    </row>
    <row r="51" spans="1:17" ht="39.75" customHeight="1">
      <c r="A51" s="11" t="s">
        <v>22</v>
      </c>
      <c r="B51" s="92" t="s">
        <v>99</v>
      </c>
      <c r="C51" s="6" t="s">
        <v>25</v>
      </c>
      <c r="D51" s="6"/>
      <c r="E51" s="11" t="s">
        <v>82</v>
      </c>
      <c r="F51" s="110">
        <v>34</v>
      </c>
      <c r="G51" s="6">
        <v>3.96</v>
      </c>
      <c r="H51" s="6">
        <f>SUM(J51)</f>
        <v>2.469069</v>
      </c>
      <c r="I51" s="6">
        <v>2.96</v>
      </c>
      <c r="J51" s="6">
        <f>0.369248+0.401176+0.362594+0.428376+0.36543+0.345772+0.196473</f>
        <v>2.469069</v>
      </c>
      <c r="K51" s="6">
        <v>1</v>
      </c>
      <c r="L51" s="6"/>
      <c r="M51" s="11" t="s">
        <v>94</v>
      </c>
      <c r="N51" s="77"/>
      <c r="O51" s="82"/>
      <c r="P51" s="83"/>
      <c r="Q51" s="83"/>
    </row>
    <row r="52" spans="1:17" ht="39" customHeight="1">
      <c r="A52" s="11" t="s">
        <v>23</v>
      </c>
      <c r="B52" s="92" t="s">
        <v>105</v>
      </c>
      <c r="C52" s="6" t="s">
        <v>25</v>
      </c>
      <c r="D52" s="6"/>
      <c r="E52" s="11" t="s">
        <v>83</v>
      </c>
      <c r="F52" s="11" t="s">
        <v>102</v>
      </c>
      <c r="G52" s="6">
        <v>3.52</v>
      </c>
      <c r="H52" s="6">
        <f>J52+L52</f>
        <v>3.67</v>
      </c>
      <c r="I52" s="6">
        <v>2.82</v>
      </c>
      <c r="J52" s="6">
        <v>3.67</v>
      </c>
      <c r="K52" s="6">
        <v>0.7</v>
      </c>
      <c r="L52" s="6"/>
      <c r="M52" s="11" t="s">
        <v>94</v>
      </c>
      <c r="N52" s="72"/>
      <c r="O52" s="117"/>
      <c r="P52" s="117"/>
      <c r="Q52" s="117"/>
    </row>
    <row r="53" spans="1:17" ht="29.25" customHeight="1">
      <c r="A53" s="11" t="s">
        <v>34</v>
      </c>
      <c r="B53" s="99" t="s">
        <v>109</v>
      </c>
      <c r="C53" s="6" t="s">
        <v>15</v>
      </c>
      <c r="D53" s="6"/>
      <c r="E53" s="11"/>
      <c r="F53" s="11"/>
      <c r="G53" s="6"/>
      <c r="H53" s="6">
        <f>J53+L53</f>
        <v>2.426414</v>
      </c>
      <c r="I53" s="6"/>
      <c r="J53" s="6">
        <f>0.174225+0.038821+0.47658+0.153913+0.292768+0.434688+0.188842+0.530437+0.072869+0.063271</f>
        <v>2.426414</v>
      </c>
      <c r="K53" s="6"/>
      <c r="L53" s="6"/>
      <c r="M53" s="11"/>
      <c r="N53" s="72"/>
      <c r="O53" s="71"/>
      <c r="P53" s="71"/>
      <c r="Q53" s="71"/>
    </row>
    <row r="54" spans="1:17" ht="12.75">
      <c r="A54" s="51" t="s">
        <v>17</v>
      </c>
      <c r="B54" s="52" t="s">
        <v>2</v>
      </c>
      <c r="C54" s="33"/>
      <c r="D54" s="33"/>
      <c r="E54" s="33"/>
      <c r="F54" s="54">
        <v>2</v>
      </c>
      <c r="G54" s="33">
        <f>SUM(G55:G56)</f>
        <v>5.2</v>
      </c>
      <c r="H54" s="33">
        <f>SUM(H55:H57)</f>
        <v>16.584598999999997</v>
      </c>
      <c r="I54" s="33">
        <f>SUM(I55:I56)</f>
        <v>0</v>
      </c>
      <c r="J54" s="33">
        <f>SUM(J55:J57)</f>
        <v>11.167629000000002</v>
      </c>
      <c r="K54" s="33">
        <f>SUM(K55:K56)</f>
        <v>5.2</v>
      </c>
      <c r="L54" s="33">
        <f>SUM(L55:L57)</f>
        <v>5.41697</v>
      </c>
      <c r="M54" s="55"/>
      <c r="N54" s="72"/>
      <c r="O54" s="117"/>
      <c r="P54" s="117"/>
      <c r="Q54" s="117"/>
    </row>
    <row r="55" spans="1:13" ht="24">
      <c r="A55" s="11" t="s">
        <v>24</v>
      </c>
      <c r="B55" s="91" t="s">
        <v>78</v>
      </c>
      <c r="C55" s="6" t="s">
        <v>15</v>
      </c>
      <c r="D55" s="6"/>
      <c r="E55" s="11" t="s">
        <v>29</v>
      </c>
      <c r="F55" s="11" t="s">
        <v>23</v>
      </c>
      <c r="G55" s="6">
        <v>0.2</v>
      </c>
      <c r="H55" s="6">
        <f>SUM(L55)</f>
        <v>0.41697</v>
      </c>
      <c r="I55" s="6"/>
      <c r="J55" s="6"/>
      <c r="K55" s="6">
        <v>0.2</v>
      </c>
      <c r="L55" s="6">
        <f>0.085344+0.193389+0.138237</f>
        <v>0.41697</v>
      </c>
      <c r="M55" s="11"/>
    </row>
    <row r="56" spans="1:13" ht="12.75">
      <c r="A56" s="11" t="s">
        <v>21</v>
      </c>
      <c r="B56" s="91" t="s">
        <v>79</v>
      </c>
      <c r="C56" s="6" t="s">
        <v>15</v>
      </c>
      <c r="D56" s="6"/>
      <c r="E56" s="6"/>
      <c r="F56" s="6"/>
      <c r="G56" s="6">
        <v>5</v>
      </c>
      <c r="H56" s="6">
        <f>SUM(J56,L56)</f>
        <v>11.707777</v>
      </c>
      <c r="I56" s="14"/>
      <c r="J56" s="6">
        <f>4.61+0.211368+0.37676+0.169684+0.279833+0.790241+0.020187+0.065684+0.065687+0.040371+0.077962</f>
        <v>6.707777000000001</v>
      </c>
      <c r="K56" s="6">
        <v>5</v>
      </c>
      <c r="L56" s="6">
        <v>5</v>
      </c>
      <c r="M56" s="11"/>
    </row>
    <row r="57" spans="1:13" ht="24">
      <c r="A57" s="11" t="s">
        <v>22</v>
      </c>
      <c r="B57" s="111" t="s">
        <v>103</v>
      </c>
      <c r="C57" s="6"/>
      <c r="D57" s="6"/>
      <c r="E57" s="6"/>
      <c r="F57" s="6"/>
      <c r="G57" s="6"/>
      <c r="H57" s="6">
        <f>SUM(J57)</f>
        <v>4.459852</v>
      </c>
      <c r="I57" s="14"/>
      <c r="J57" s="6">
        <f>2.19+2.19+0.079852</f>
        <v>4.459852</v>
      </c>
      <c r="K57" s="6"/>
      <c r="L57" s="6"/>
      <c r="M57" s="11"/>
    </row>
    <row r="58" spans="1:20" ht="12.75">
      <c r="A58" s="48" t="s">
        <v>50</v>
      </c>
      <c r="B58" s="35" t="s">
        <v>30</v>
      </c>
      <c r="C58" s="49"/>
      <c r="D58" s="49"/>
      <c r="E58" s="50"/>
      <c r="F58" s="33" t="s">
        <v>21</v>
      </c>
      <c r="G58" s="33">
        <f aca="true" t="shared" si="6" ref="G58:L58">SUM(G59:G60)</f>
        <v>3.8</v>
      </c>
      <c r="H58" s="33">
        <f t="shared" si="6"/>
        <v>4.4473139999999995</v>
      </c>
      <c r="I58" s="33">
        <f t="shared" si="6"/>
        <v>0</v>
      </c>
      <c r="J58" s="33">
        <f t="shared" si="6"/>
        <v>0</v>
      </c>
      <c r="K58" s="33">
        <f t="shared" si="6"/>
        <v>3.8</v>
      </c>
      <c r="L58" s="33">
        <f t="shared" si="6"/>
        <v>4.4473139999999995</v>
      </c>
      <c r="M58" s="67"/>
      <c r="T58" s="1" t="s">
        <v>56</v>
      </c>
    </row>
    <row r="59" spans="1:15" ht="39" customHeight="1">
      <c r="A59" s="11" t="s">
        <v>24</v>
      </c>
      <c r="B59" s="93" t="s">
        <v>80</v>
      </c>
      <c r="C59" s="6" t="s">
        <v>15</v>
      </c>
      <c r="D59" s="7"/>
      <c r="E59" s="13" t="s">
        <v>23</v>
      </c>
      <c r="F59" s="13" t="s">
        <v>23</v>
      </c>
      <c r="G59" s="6">
        <v>2</v>
      </c>
      <c r="H59" s="6">
        <f>L59</f>
        <v>2.5793399999999997</v>
      </c>
      <c r="I59" s="14"/>
      <c r="J59" s="14"/>
      <c r="K59" s="6">
        <v>2</v>
      </c>
      <c r="L59" s="6">
        <f>0.542247+0.088613+0.570253+0.088647+1.097742+0.191838</f>
        <v>2.5793399999999997</v>
      </c>
      <c r="M59" s="11" t="s">
        <v>94</v>
      </c>
      <c r="N59" s="59"/>
      <c r="O59" s="60"/>
    </row>
    <row r="60" spans="1:15" ht="24.75" customHeight="1">
      <c r="A60" s="11" t="s">
        <v>21</v>
      </c>
      <c r="B60" s="93" t="s">
        <v>104</v>
      </c>
      <c r="C60" s="6" t="s">
        <v>15</v>
      </c>
      <c r="D60" s="7"/>
      <c r="E60" s="13" t="s">
        <v>35</v>
      </c>
      <c r="F60" s="13" t="s">
        <v>35</v>
      </c>
      <c r="G60" s="6">
        <v>1.8</v>
      </c>
      <c r="H60" s="6">
        <f>SUM(L60)</f>
        <v>1.867974</v>
      </c>
      <c r="I60" s="14"/>
      <c r="J60" s="6"/>
      <c r="K60" s="6">
        <v>1.8</v>
      </c>
      <c r="L60" s="6">
        <f>0.79+0.354214+0.72376</f>
        <v>1.867974</v>
      </c>
      <c r="M60" s="11" t="s">
        <v>94</v>
      </c>
      <c r="N60" s="61"/>
      <c r="O60" s="62"/>
    </row>
    <row r="61" spans="1:13" ht="12.75">
      <c r="A61" s="47" t="s">
        <v>85</v>
      </c>
      <c r="B61" s="94" t="s">
        <v>86</v>
      </c>
      <c r="C61" s="95"/>
      <c r="D61" s="96"/>
      <c r="E61" s="97"/>
      <c r="F61" s="97"/>
      <c r="G61" s="39">
        <f>20+7.017</f>
        <v>27.017</v>
      </c>
      <c r="H61" s="39">
        <f>SUM(L61)</f>
        <v>26.99</v>
      </c>
      <c r="I61" s="39"/>
      <c r="J61" s="95"/>
      <c r="K61" s="39"/>
      <c r="L61" s="39">
        <v>26.99</v>
      </c>
      <c r="M61" s="98"/>
    </row>
    <row r="62" spans="1:13" ht="12.75">
      <c r="A62" s="100"/>
      <c r="B62" s="101"/>
      <c r="C62" s="18"/>
      <c r="D62" s="102"/>
      <c r="E62" s="103"/>
      <c r="F62" s="103"/>
      <c r="G62" s="104"/>
      <c r="H62" s="104"/>
      <c r="I62" s="104"/>
      <c r="J62" s="18"/>
      <c r="K62" s="104"/>
      <c r="L62" s="104"/>
      <c r="M62" s="105"/>
    </row>
    <row r="63" spans="1:12" ht="25.5">
      <c r="A63" s="5"/>
      <c r="B63" s="15" t="s">
        <v>47</v>
      </c>
      <c r="C63" s="16"/>
      <c r="D63" s="24"/>
      <c r="E63" s="23"/>
      <c r="F63" s="23"/>
      <c r="G63" s="25" t="s">
        <v>48</v>
      </c>
      <c r="H63" s="25"/>
      <c r="I63" s="17"/>
      <c r="J63" s="17"/>
      <c r="K63" s="18"/>
      <c r="L63" s="18"/>
    </row>
    <row r="65" spans="2:8" ht="12.75">
      <c r="B65" s="1" t="s">
        <v>106</v>
      </c>
      <c r="G65" s="115" t="s">
        <v>107</v>
      </c>
      <c r="H65" s="115"/>
    </row>
    <row r="67" spans="11:13" ht="12.75">
      <c r="K67" s="56"/>
      <c r="L67" s="63"/>
      <c r="M67" s="58"/>
    </row>
    <row r="68" spans="11:12" ht="12.75">
      <c r="K68" s="56"/>
      <c r="L68" s="57"/>
    </row>
    <row r="69" spans="11:12" ht="12.75">
      <c r="K69" s="56"/>
      <c r="L69" s="57"/>
    </row>
  </sheetData>
  <sheetProtection/>
  <mergeCells count="17">
    <mergeCell ref="A6:K6"/>
    <mergeCell ref="A7:K7"/>
    <mergeCell ref="I11:M11"/>
    <mergeCell ref="B10:B12"/>
    <mergeCell ref="C10:C12"/>
    <mergeCell ref="A10:A12"/>
    <mergeCell ref="A8:K8"/>
    <mergeCell ref="A9:K9"/>
    <mergeCell ref="E10:F11"/>
    <mergeCell ref="G10:M10"/>
    <mergeCell ref="D10:D12"/>
    <mergeCell ref="G65:H65"/>
    <mergeCell ref="G11:H11"/>
    <mergeCell ref="O54:Q54"/>
    <mergeCell ref="P48:Q48"/>
    <mergeCell ref="O52:Q52"/>
    <mergeCell ref="N24:O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132" zoomScaleNormal="132" zoomScaleSheetLayoutView="130" zoomScalePageLayoutView="0" workbookViewId="0" topLeftCell="A22">
      <selection activeCell="K27" sqref="K27"/>
    </sheetView>
  </sheetViews>
  <sheetFormatPr defaultColWidth="9.00390625" defaultRowHeight="12.75"/>
  <cols>
    <col min="2" max="2" width="28.75390625" style="0" customWidth="1"/>
    <col min="4" max="4" width="11.125" style="0" customWidth="1"/>
  </cols>
  <sheetData>
    <row r="1" spans="1:13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pto12</cp:lastModifiedBy>
  <cp:lastPrinted>2014-01-10T07:58:24Z</cp:lastPrinted>
  <dcterms:created xsi:type="dcterms:W3CDTF">2009-03-11T00:38:42Z</dcterms:created>
  <dcterms:modified xsi:type="dcterms:W3CDTF">2014-01-10T08:58:39Z</dcterms:modified>
  <cp:category/>
  <cp:version/>
  <cp:contentType/>
  <cp:contentStatus/>
</cp:coreProperties>
</file>